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705" windowHeight="11595"/>
  </bookViews>
  <sheets>
    <sheet name="LEDs" sheetId="1" r:id="rId1"/>
    <sheet name="Wire" sheetId="2" r:id="rId2"/>
    <sheet name="References" sheetId="3" r:id="rId3"/>
  </sheets>
  <definedNames>
    <definedName name="I_desired">LEDs!$B$9</definedName>
    <definedName name="I_max">LEDs!$B$16</definedName>
    <definedName name="I_min">LEDs!$B$17</definedName>
    <definedName name="I_typ">LEDs!$B$15</definedName>
    <definedName name="LED_color">LEDs!$B$8</definedName>
    <definedName name="LED_Vlu">LEDs!$G$3:$I$11</definedName>
    <definedName name="R_list">References!$B$5</definedName>
    <definedName name="R_lu">References!$B$6:$B$30</definedName>
    <definedName name="R_max">LEDs!$B$28</definedName>
    <definedName name="R_min">LEDs!$B$29</definedName>
    <definedName name="R_nom">LEDs!$B$14</definedName>
    <definedName name="R_tolerance">LEDs!$B$7</definedName>
    <definedName name="R_user_select">LEDs!$F$14</definedName>
    <definedName name="VF_max">LEDs!$B$24</definedName>
    <definedName name="VF_min">LEDs!$B$23</definedName>
    <definedName name="VF_typ">LEDs!$B$25</definedName>
    <definedName name="Vsup_max">LEDs!$B$30</definedName>
    <definedName name="Vsup_min">LEDs!$B$31</definedName>
    <definedName name="Vsup_nom">LEDs!$B$5</definedName>
    <definedName name="Vsup_tolerance">LEDs!$B$6</definedName>
  </definedNames>
  <calcPr calcId="125725"/>
</workbook>
</file>

<file path=xl/calcChain.xml><?xml version="1.0" encoding="utf-8"?>
<calcChain xmlns="http://schemas.openxmlformats.org/spreadsheetml/2006/main">
  <c r="B24" i="1"/>
  <c r="B23"/>
  <c r="B31"/>
  <c r="B30"/>
  <c r="B25" l="1"/>
  <c r="F17"/>
  <c r="F20" s="1"/>
  <c r="F16"/>
  <c r="F19" s="1"/>
  <c r="F15" l="1"/>
  <c r="F18" s="1"/>
  <c r="B26"/>
  <c r="B34" s="1"/>
  <c r="B35" s="1"/>
  <c r="B36" s="1"/>
  <c r="B37" l="1"/>
  <c r="B38"/>
  <c r="B40" s="1"/>
  <c r="B39" l="1"/>
  <c r="B41" s="1"/>
  <c r="B42" s="1"/>
  <c r="B27" s="1"/>
  <c r="B28" l="1"/>
  <c r="B17" s="1"/>
  <c r="B20" s="1"/>
  <c r="B29"/>
  <c r="B16" s="1"/>
  <c r="B19" s="1"/>
  <c r="B14"/>
  <c r="B15" s="1"/>
  <c r="B18" s="1"/>
</calcChain>
</file>

<file path=xl/sharedStrings.xml><?xml version="1.0" encoding="utf-8"?>
<sst xmlns="http://schemas.openxmlformats.org/spreadsheetml/2006/main" count="119" uniqueCount="76">
  <si>
    <t>LED Color</t>
  </si>
  <si>
    <t>Red</t>
  </si>
  <si>
    <t>Green</t>
  </si>
  <si>
    <t>Blue</t>
  </si>
  <si>
    <t>White</t>
  </si>
  <si>
    <t>Infrared (IR)</t>
  </si>
  <si>
    <t>Ultraviolet (UV)</t>
  </si>
  <si>
    <t>Min</t>
  </si>
  <si>
    <t>Max</t>
  </si>
  <si>
    <t>Typical LED Forward Voltage Drops (V)</t>
  </si>
  <si>
    <t>LED Calculator</t>
  </si>
  <si>
    <t>Resistor Calculator</t>
  </si>
  <si>
    <t>Power Supply voltage</t>
  </si>
  <si>
    <t>Power Supply tolerance</t>
  </si>
  <si>
    <t>Volts</t>
  </si>
  <si>
    <t>%</t>
  </si>
  <si>
    <t>Resistor tolerance</t>
  </si>
  <si>
    <t>Value</t>
  </si>
  <si>
    <t>Unit</t>
  </si>
  <si>
    <t>---</t>
  </si>
  <si>
    <t>Desired Current</t>
  </si>
  <si>
    <t>mA</t>
  </si>
  <si>
    <t>Nominal Resistor Value</t>
  </si>
  <si>
    <t>VF (min)</t>
  </si>
  <si>
    <t>VF (max)</t>
  </si>
  <si>
    <t>VF (typ)</t>
  </si>
  <si>
    <t>Ideal resistor</t>
  </si>
  <si>
    <t>exponent</t>
  </si>
  <si>
    <t>mantissa</t>
  </si>
  <si>
    <t>lower value</t>
  </si>
  <si>
    <t>upper value</t>
  </si>
  <si>
    <t>lower delta</t>
  </si>
  <si>
    <t>upper delta</t>
  </si>
  <si>
    <t>closest value</t>
  </si>
  <si>
    <t>final value</t>
  </si>
  <si>
    <t>Ohms</t>
  </si>
  <si>
    <t>Nearest 5% resistor</t>
  </si>
  <si>
    <t>R table offset</t>
  </si>
  <si>
    <t>Typical current</t>
  </si>
  <si>
    <t>Max current</t>
  </si>
  <si>
    <t>Vsup max</t>
  </si>
  <si>
    <t>Vsup min</t>
  </si>
  <si>
    <t>R max</t>
  </si>
  <si>
    <t>R min</t>
  </si>
  <si>
    <t>Min current</t>
  </si>
  <si>
    <t>Resistor calculations (to get nearest 5% resistor value):</t>
  </si>
  <si>
    <t>Misc. calculations (min/max ranges):</t>
  </si>
  <si>
    <t>Results Using Desired Current:</t>
  </si>
  <si>
    <t>Use a selected Resistor value:</t>
  </si>
  <si>
    <t>Yellow</t>
  </si>
  <si>
    <t>5% Resistor values (mantissa only)</t>
  </si>
  <si>
    <t>Typical power</t>
  </si>
  <si>
    <t>mW</t>
  </si>
  <si>
    <t>Power @ max current</t>
  </si>
  <si>
    <t>Power @ min current</t>
  </si>
  <si>
    <t>Enter values in these:</t>
  </si>
  <si>
    <t>do NOT change these:</t>
  </si>
  <si>
    <t>xxx</t>
  </si>
  <si>
    <t xml:space="preserve">AWG Gauge* </t>
  </si>
  <si>
    <t>Area</t>
  </si>
  <si>
    <t>Diameter</t>
  </si>
  <si>
    <t xml:space="preserve">Electrical Resistance </t>
  </si>
  <si>
    <t>Weight</t>
  </si>
  <si>
    <t>(Circular</t>
  </si>
  <si>
    <t xml:space="preserve">Mils) </t>
  </si>
  <si>
    <t xml:space="preserve">( mils, 1000th in) </t>
  </si>
  <si>
    <t>(Ohms/1000 ft)</t>
  </si>
  <si>
    <t>(lb/1000 ft</t>
  </si>
  <si>
    <r>
      <t>at </t>
    </r>
    <r>
      <rPr>
        <b/>
        <i/>
        <sz val="8.8000000000000007"/>
        <color rgb="FF000000"/>
        <rFont val="Arial"/>
        <family val="2"/>
      </rPr>
      <t>77 </t>
    </r>
    <r>
      <rPr>
        <b/>
        <i/>
        <vertAlign val="superscript"/>
        <sz val="8.8000000000000007"/>
        <color rgb="FF000000"/>
        <rFont val="Arial"/>
        <family val="2"/>
      </rPr>
      <t>o</t>
    </r>
    <r>
      <rPr>
        <b/>
        <i/>
        <sz val="8.8000000000000007"/>
        <color rgb="FF000000"/>
        <rFont val="Arial"/>
        <family val="2"/>
      </rPr>
      <t>F (25 </t>
    </r>
    <r>
      <rPr>
        <b/>
        <i/>
        <vertAlign val="superscript"/>
        <sz val="8.8000000000000007"/>
        <color rgb="FF000000"/>
        <rFont val="Arial"/>
        <family val="2"/>
      </rPr>
      <t>o</t>
    </r>
    <r>
      <rPr>
        <b/>
        <i/>
        <sz val="8.8000000000000007"/>
        <color rgb="FF000000"/>
        <rFont val="Arial"/>
        <family val="2"/>
      </rPr>
      <t>C)</t>
    </r>
    <r>
      <rPr>
        <b/>
        <sz val="8.8000000000000007"/>
        <color rgb="FF000000"/>
        <rFont val="Arial"/>
        <family val="2"/>
      </rPr>
      <t xml:space="preserve"> </t>
    </r>
  </si>
  <si>
    <r>
      <t>at </t>
    </r>
    <r>
      <rPr>
        <b/>
        <i/>
        <sz val="8.8000000000000007"/>
        <color rgb="FF000000"/>
        <rFont val="Arial"/>
        <family val="2"/>
      </rPr>
      <t>149 </t>
    </r>
    <r>
      <rPr>
        <b/>
        <i/>
        <vertAlign val="superscript"/>
        <sz val="8.8000000000000007"/>
        <color rgb="FF000000"/>
        <rFont val="Arial"/>
        <family val="2"/>
      </rPr>
      <t>o</t>
    </r>
    <r>
      <rPr>
        <b/>
        <i/>
        <sz val="8.8000000000000007"/>
        <color rgb="FF000000"/>
        <rFont val="Arial"/>
        <family val="2"/>
      </rPr>
      <t>F (65 </t>
    </r>
    <r>
      <rPr>
        <b/>
        <i/>
        <vertAlign val="superscript"/>
        <sz val="8.8000000000000007"/>
        <color rgb="FF000000"/>
        <rFont val="Arial"/>
        <family val="2"/>
      </rPr>
      <t>o</t>
    </r>
    <r>
      <rPr>
        <b/>
        <i/>
        <sz val="8.8000000000000007"/>
        <color rgb="FF000000"/>
        <rFont val="Arial"/>
        <family val="2"/>
      </rPr>
      <t>C)</t>
    </r>
    <r>
      <rPr>
        <b/>
        <sz val="8.8000000000000007"/>
        <color rgb="FF000000"/>
        <rFont val="Arial"/>
        <family val="2"/>
      </rPr>
      <t xml:space="preserve"> </t>
    </r>
  </si>
  <si>
    <t>NS Code 100 rail</t>
  </si>
  <si>
    <t>CAT-5 wires, NS Code 83 rail</t>
  </si>
  <si>
    <t>Wire Resistances</t>
  </si>
  <si>
    <t>Source:</t>
  </si>
  <si>
    <t xml:space="preserve">https://www.engineeringtoolbox.com/copper-wire-d_1429.html </t>
  </si>
  <si>
    <t>Notes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</si>
</sst>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Segoe UI"/>
      <family val="2"/>
    </font>
    <font>
      <sz val="11"/>
      <color rgb="FF222222"/>
      <name val="Segoe UI"/>
      <family val="2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b/>
      <sz val="8.8000000000000007"/>
      <color rgb="FF000000"/>
      <name val="Arial"/>
      <family val="2"/>
    </font>
    <font>
      <b/>
      <i/>
      <sz val="8.8000000000000007"/>
      <color rgb="FF000000"/>
      <name val="Arial"/>
      <family val="2"/>
    </font>
    <font>
      <b/>
      <i/>
      <vertAlign val="superscript"/>
      <sz val="8.8000000000000007"/>
      <color rgb="FF000000"/>
      <name val="Arial"/>
      <family val="2"/>
    </font>
    <font>
      <sz val="8.8000000000000007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4F8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 style="mediumDashed">
        <color auto="1"/>
      </left>
      <right style="mediumDashed">
        <color auto="1"/>
      </right>
      <top/>
      <bottom style="mediumDash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CCCCC"/>
      </right>
      <top style="medium">
        <color rgb="FFC0C0C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0C0C0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0C0C0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5" fillId="5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 wrapText="1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5" fillId="5" borderId="0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164" fontId="6" fillId="5" borderId="2" xfId="0" applyNumberFormat="1" applyFont="1" applyFill="1" applyBorder="1" applyAlignment="1">
      <alignment horizontal="center" vertical="top" wrapText="1"/>
    </xf>
    <xf numFmtId="164" fontId="6" fillId="5" borderId="4" xfId="0" applyNumberFormat="1" applyFont="1" applyFill="1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2" applyAlignment="1">
      <alignment horizontal="center"/>
    </xf>
    <xf numFmtId="1" fontId="2" fillId="3" borderId="1" xfId="2" applyNumberFormat="1" applyAlignment="1">
      <alignment horizontal="center"/>
    </xf>
    <xf numFmtId="0" fontId="10" fillId="0" borderId="0" xfId="0" applyFont="1"/>
    <xf numFmtId="0" fontId="3" fillId="4" borderId="1" xfId="3" applyAlignment="1">
      <alignment horizontal="center"/>
    </xf>
    <xf numFmtId="164" fontId="3" fillId="4" borderId="1" xfId="3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6" borderId="5" xfId="0" applyFill="1" applyBorder="1" applyAlignment="1">
      <alignment horizontal="center" wrapText="1"/>
    </xf>
    <xf numFmtId="0" fontId="3" fillId="4" borderId="1" xfId="3" applyAlignment="1">
      <alignment horizontal="center" vertical="top"/>
    </xf>
    <xf numFmtId="0" fontId="12" fillId="7" borderId="9" xfId="0" applyFont="1" applyFill="1" applyBorder="1" applyAlignment="1">
      <alignment horizontal="center" vertical="center" wrapText="1" readingOrder="1"/>
    </xf>
    <xf numFmtId="0" fontId="11" fillId="7" borderId="10" xfId="0" applyFont="1" applyFill="1" applyBorder="1" applyAlignment="1">
      <alignment horizontal="center" vertical="center" wrapText="1" readingOrder="1"/>
    </xf>
    <xf numFmtId="0" fontId="13" fillId="7" borderId="11" xfId="0" applyFont="1" applyFill="1" applyBorder="1" applyAlignment="1">
      <alignment horizontal="center" vertical="center" wrapText="1" readingOrder="1"/>
    </xf>
    <xf numFmtId="0" fontId="12" fillId="7" borderId="8" xfId="0" applyFont="1" applyFill="1" applyBorder="1" applyAlignment="1">
      <alignment horizontal="center" vertical="center" wrapText="1" readingOrder="1"/>
    </xf>
    <xf numFmtId="0" fontId="15" fillId="8" borderId="19" xfId="0" applyFont="1" applyFill="1" applyBorder="1" applyAlignment="1">
      <alignment horizontal="center" wrapText="1" readingOrder="1"/>
    </xf>
    <xf numFmtId="0" fontId="15" fillId="8" borderId="20" xfId="0" applyFont="1" applyFill="1" applyBorder="1" applyAlignment="1">
      <alignment horizontal="center" wrapText="1" readingOrder="1"/>
    </xf>
    <xf numFmtId="0" fontId="15" fillId="8" borderId="21" xfId="0" applyFont="1" applyFill="1" applyBorder="1" applyAlignment="1">
      <alignment horizontal="center" wrapText="1" readingOrder="1"/>
    </xf>
    <xf numFmtId="0" fontId="15" fillId="8" borderId="22" xfId="0" applyFont="1" applyFill="1" applyBorder="1" applyAlignment="1">
      <alignment horizontal="center" wrapText="1" readingOrder="1"/>
    </xf>
    <xf numFmtId="0" fontId="15" fillId="8" borderId="23" xfId="0" applyFont="1" applyFill="1" applyBorder="1" applyAlignment="1">
      <alignment horizontal="center" wrapText="1" readingOrder="1"/>
    </xf>
    <xf numFmtId="0" fontId="1" fillId="2" borderId="18" xfId="1" applyBorder="1" applyAlignment="1">
      <alignment horizontal="center" wrapText="1" readingOrder="1"/>
    </xf>
    <xf numFmtId="0" fontId="1" fillId="2" borderId="21" xfId="1" applyBorder="1" applyAlignment="1">
      <alignment horizontal="center" wrapText="1" readingOrder="1"/>
    </xf>
    <xf numFmtId="0" fontId="15" fillId="0" borderId="24" xfId="0" applyFont="1" applyFill="1" applyBorder="1" applyAlignment="1">
      <alignment horizontal="center" wrapText="1" readingOrder="1"/>
    </xf>
    <xf numFmtId="0" fontId="15" fillId="0" borderId="25" xfId="0" applyFont="1" applyFill="1" applyBorder="1" applyAlignment="1">
      <alignment horizontal="center" wrapText="1" readingOrder="1"/>
    </xf>
    <xf numFmtId="0" fontId="15" fillId="0" borderId="26" xfId="0" applyFont="1" applyFill="1" applyBorder="1" applyAlignment="1">
      <alignment horizontal="center" wrapText="1" readingOrder="1"/>
    </xf>
    <xf numFmtId="0" fontId="7" fillId="0" borderId="0" xfId="4" applyAlignment="1" applyProtection="1"/>
    <xf numFmtId="0" fontId="11" fillId="7" borderId="9" xfId="0" applyFont="1" applyFill="1" applyBorder="1" applyAlignment="1">
      <alignment horizontal="center" vertical="center" wrapText="1" readingOrder="1"/>
    </xf>
    <xf numFmtId="0" fontId="11" fillId="7" borderId="10" xfId="0" applyFont="1" applyFill="1" applyBorder="1" applyAlignment="1">
      <alignment horizontal="center" vertical="center" wrapText="1" readingOrder="1"/>
    </xf>
    <xf numFmtId="0" fontId="11" fillId="7" borderId="11" xfId="0" applyFont="1" applyFill="1" applyBorder="1" applyAlignment="1">
      <alignment horizontal="center" vertical="center" wrapText="1" readingOrder="1"/>
    </xf>
    <xf numFmtId="0" fontId="7" fillId="7" borderId="12" xfId="4" applyFill="1" applyBorder="1" applyAlignment="1" applyProtection="1">
      <alignment horizontal="center" vertical="center" wrapText="1" readingOrder="1"/>
    </xf>
    <xf numFmtId="0" fontId="7" fillId="7" borderId="13" xfId="4" applyFill="1" applyBorder="1" applyAlignment="1" applyProtection="1">
      <alignment horizontal="center" vertical="center" wrapText="1" readingOrder="1"/>
    </xf>
    <xf numFmtId="0" fontId="13" fillId="7" borderId="14" xfId="0" applyFont="1" applyFill="1" applyBorder="1" applyAlignment="1">
      <alignment horizontal="center" vertical="center" wrapText="1" readingOrder="1"/>
    </xf>
    <xf numFmtId="0" fontId="13" fillId="7" borderId="15" xfId="0" applyFont="1" applyFill="1" applyBorder="1" applyAlignment="1">
      <alignment horizontal="center" vertical="center" wrapText="1" readingOrder="1"/>
    </xf>
    <xf numFmtId="0" fontId="13" fillId="7" borderId="16" xfId="0" applyFont="1" applyFill="1" applyBorder="1" applyAlignment="1">
      <alignment horizontal="center" vertical="center" wrapText="1" readingOrder="1"/>
    </xf>
    <xf numFmtId="0" fontId="13" fillId="7" borderId="17" xfId="0" applyFont="1" applyFill="1" applyBorder="1" applyAlignment="1">
      <alignment horizontal="center" vertical="center" wrapText="1" readingOrder="1"/>
    </xf>
    <xf numFmtId="0" fontId="13" fillId="7" borderId="10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top"/>
    </xf>
  </cellXfs>
  <cellStyles count="5">
    <cellStyle name="Calculation" xfId="3" builtinId="22"/>
    <cellStyle name="Good" xfId="1" builtinId="26"/>
    <cellStyle name="Hyperlink" xfId="4" builtinId="8"/>
    <cellStyle name="Input" xfId="2" builtinId="20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gineeringtoolbox.com/copper-wire-d_1429.html" TargetMode="External"/><Relationship Id="rId1" Type="http://schemas.openxmlformats.org/officeDocument/2006/relationships/hyperlink" Target="https://www.engineeringtoolbox.com/resistance-resisitivity-d_138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selection activeCell="D8" sqref="D8"/>
    </sheetView>
  </sheetViews>
  <sheetFormatPr defaultRowHeight="15"/>
  <cols>
    <col min="1" max="1" width="23.28515625" customWidth="1"/>
    <col min="2" max="2" width="9" style="9" bestFit="1" customWidth="1"/>
    <col min="3" max="3" width="9.140625" style="9"/>
    <col min="5" max="5" width="22.140625" bestFit="1" customWidth="1"/>
    <col min="7" max="7" width="18.140625" customWidth="1"/>
    <col min="8" max="9" width="10" customWidth="1"/>
  </cols>
  <sheetData>
    <row r="1" spans="1:9" ht="21">
      <c r="A1" s="8" t="s">
        <v>10</v>
      </c>
    </row>
    <row r="2" spans="1:9" ht="17.25" thickBot="1">
      <c r="A2" s="6" t="s">
        <v>55</v>
      </c>
      <c r="B2" s="17" t="s">
        <v>57</v>
      </c>
      <c r="G2" s="4" t="s">
        <v>9</v>
      </c>
      <c r="H2" s="10"/>
      <c r="I2" s="10"/>
    </row>
    <row r="3" spans="1:9" ht="33">
      <c r="A3" s="51" t="s">
        <v>56</v>
      </c>
      <c r="B3" s="25" t="s">
        <v>57</v>
      </c>
      <c r="G3" s="3" t="s">
        <v>0</v>
      </c>
      <c r="H3" s="11" t="s">
        <v>0</v>
      </c>
      <c r="I3" s="11" t="s">
        <v>0</v>
      </c>
    </row>
    <row r="4" spans="1:9" s="6" customFormat="1" ht="17.25" thickBot="1">
      <c r="A4" s="6" t="s">
        <v>11</v>
      </c>
      <c r="B4" s="16" t="s">
        <v>17</v>
      </c>
      <c r="C4" s="16" t="s">
        <v>18</v>
      </c>
      <c r="G4" s="1"/>
      <c r="H4" s="12" t="s">
        <v>7</v>
      </c>
      <c r="I4" s="12" t="s">
        <v>8</v>
      </c>
    </row>
    <row r="5" spans="1:9" ht="17.25" thickBot="1">
      <c r="A5" t="s">
        <v>12</v>
      </c>
      <c r="B5" s="17">
        <v>12</v>
      </c>
      <c r="C5" s="9" t="s">
        <v>14</v>
      </c>
      <c r="G5" s="2" t="s">
        <v>1</v>
      </c>
      <c r="H5" s="13">
        <v>1.5</v>
      </c>
      <c r="I5" s="13">
        <v>2</v>
      </c>
    </row>
    <row r="6" spans="1:9" ht="17.25" thickBot="1">
      <c r="A6" t="s">
        <v>13</v>
      </c>
      <c r="B6" s="18">
        <v>5</v>
      </c>
      <c r="C6" s="15" t="s">
        <v>15</v>
      </c>
      <c r="G6" s="2" t="s">
        <v>2</v>
      </c>
      <c r="H6" s="13">
        <v>1.6</v>
      </c>
      <c r="I6" s="13">
        <v>4</v>
      </c>
    </row>
    <row r="7" spans="1:9" ht="17.25" thickBot="1">
      <c r="A7" t="s">
        <v>16</v>
      </c>
      <c r="B7" s="17">
        <v>5</v>
      </c>
      <c r="C7" s="15" t="s">
        <v>15</v>
      </c>
      <c r="G7" s="2" t="s">
        <v>49</v>
      </c>
      <c r="H7" s="13">
        <v>2</v>
      </c>
      <c r="I7" s="13">
        <v>2.4</v>
      </c>
    </row>
    <row r="8" spans="1:9" ht="17.25" thickBot="1">
      <c r="A8" t="s">
        <v>0</v>
      </c>
      <c r="B8" s="17" t="s">
        <v>1</v>
      </c>
      <c r="C8" s="15" t="s">
        <v>19</v>
      </c>
      <c r="G8" s="2" t="s">
        <v>3</v>
      </c>
      <c r="H8" s="13">
        <v>2.5</v>
      </c>
      <c r="I8" s="13">
        <v>3.7</v>
      </c>
    </row>
    <row r="9" spans="1:9" ht="17.25" thickBot="1">
      <c r="A9" t="s">
        <v>20</v>
      </c>
      <c r="B9" s="17">
        <v>10</v>
      </c>
      <c r="C9" s="9" t="s">
        <v>21</v>
      </c>
      <c r="G9" s="2" t="s">
        <v>4</v>
      </c>
      <c r="H9" s="13">
        <v>3</v>
      </c>
      <c r="I9" s="13">
        <v>4.5</v>
      </c>
    </row>
    <row r="10" spans="1:9" ht="17.25" thickBot="1">
      <c r="G10" s="2" t="s">
        <v>5</v>
      </c>
      <c r="H10" s="13">
        <v>1.2</v>
      </c>
      <c r="I10" s="13">
        <v>1.9</v>
      </c>
    </row>
    <row r="11" spans="1:9" ht="17.25" thickBot="1">
      <c r="G11" s="5" t="s">
        <v>6</v>
      </c>
      <c r="H11" s="14">
        <v>2.1</v>
      </c>
      <c r="I11" s="14">
        <v>4.4000000000000004</v>
      </c>
    </row>
    <row r="13" spans="1:9">
      <c r="A13" s="7" t="s">
        <v>47</v>
      </c>
      <c r="E13" s="7" t="s">
        <v>48</v>
      </c>
    </row>
    <row r="14" spans="1:9">
      <c r="A14" t="s">
        <v>22</v>
      </c>
      <c r="B14" s="20">
        <f ca="1">$B$27</f>
        <v>1000</v>
      </c>
      <c r="C14" s="9" t="s">
        <v>35</v>
      </c>
      <c r="E14" t="s">
        <v>22</v>
      </c>
      <c r="F14" s="17">
        <v>1000</v>
      </c>
      <c r="G14" s="9" t="s">
        <v>35</v>
      </c>
    </row>
    <row r="15" spans="1:9">
      <c r="A15" t="s">
        <v>38</v>
      </c>
      <c r="B15" s="21">
        <f ca="1">(Vsup_nom-VF_typ)/R_nom*1000</f>
        <v>10.25</v>
      </c>
      <c r="C15" s="9" t="s">
        <v>21</v>
      </c>
      <c r="E15" t="s">
        <v>38</v>
      </c>
      <c r="F15" s="21">
        <f>(Vsup_nom-VF_typ)/R_user_select*1000</f>
        <v>10.25</v>
      </c>
      <c r="G15" s="9" t="s">
        <v>21</v>
      </c>
    </row>
    <row r="16" spans="1:9">
      <c r="A16" t="s">
        <v>39</v>
      </c>
      <c r="B16" s="21">
        <f ca="1">(Vsup_max-VF_min)/R_min*1000</f>
        <v>11.684210526315791</v>
      </c>
      <c r="C16" s="9" t="s">
        <v>21</v>
      </c>
      <c r="E16" t="s">
        <v>39</v>
      </c>
      <c r="F16" s="21">
        <f>(Vsup_max-VF_min)/(R_user_select*(1-(R_tolerance/100)))*1000</f>
        <v>11.684210526315791</v>
      </c>
      <c r="G16" s="9" t="s">
        <v>21</v>
      </c>
    </row>
    <row r="17" spans="1:7">
      <c r="A17" t="s">
        <v>44</v>
      </c>
      <c r="B17" s="21">
        <f ca="1">(Vsup_min-VF_max)/R_max*1000</f>
        <v>8.9523809523809508</v>
      </c>
      <c r="C17" s="9" t="s">
        <v>21</v>
      </c>
      <c r="E17" t="s">
        <v>44</v>
      </c>
      <c r="F17" s="21">
        <f>(Vsup_min-VF_max)/(R_user_select*(1+(R_tolerance/100)))*1000</f>
        <v>8.9523809523809508</v>
      </c>
      <c r="G17" s="9" t="s">
        <v>21</v>
      </c>
    </row>
    <row r="18" spans="1:7">
      <c r="A18" t="s">
        <v>51</v>
      </c>
      <c r="B18" s="21">
        <f ca="1">VF_typ*I_typ</f>
        <v>17.9375</v>
      </c>
      <c r="C18" s="9" t="s">
        <v>52</v>
      </c>
      <c r="E18" t="s">
        <v>51</v>
      </c>
      <c r="F18" s="21">
        <f>F15*VF_typ</f>
        <v>17.9375</v>
      </c>
      <c r="G18" s="9" t="s">
        <v>52</v>
      </c>
    </row>
    <row r="19" spans="1:7">
      <c r="A19" t="s">
        <v>53</v>
      </c>
      <c r="B19" s="21">
        <f ca="1">I_max*VF_min</f>
        <v>17.526315789473685</v>
      </c>
      <c r="C19" s="9" t="s">
        <v>52</v>
      </c>
      <c r="E19" t="s">
        <v>53</v>
      </c>
      <c r="F19" s="21">
        <f>F16*VF_min</f>
        <v>17.526315789473685</v>
      </c>
      <c r="G19" s="9" t="s">
        <v>52</v>
      </c>
    </row>
    <row r="20" spans="1:7">
      <c r="A20" t="s">
        <v>54</v>
      </c>
      <c r="B20" s="21">
        <f ca="1">I_min*VF_max</f>
        <v>17.904761904761902</v>
      </c>
      <c r="C20" s="9" t="s">
        <v>52</v>
      </c>
      <c r="E20" t="s">
        <v>54</v>
      </c>
      <c r="F20" s="21">
        <f>F17*VF_max</f>
        <v>17.904761904761902</v>
      </c>
      <c r="G20" s="9" t="s">
        <v>52</v>
      </c>
    </row>
    <row r="22" spans="1:7">
      <c r="A22" s="19" t="s">
        <v>46</v>
      </c>
    </row>
    <row r="23" spans="1:7">
      <c r="A23" t="s">
        <v>23</v>
      </c>
      <c r="B23" s="21">
        <f>VLOOKUP(LED_color,LED_Vlu,2,0)</f>
        <v>1.5</v>
      </c>
      <c r="C23" s="9" t="s">
        <v>14</v>
      </c>
    </row>
    <row r="24" spans="1:7">
      <c r="A24" t="s">
        <v>24</v>
      </c>
      <c r="B24" s="21">
        <f>VLOOKUP(LED_color,LED_Vlu,3,0)</f>
        <v>2</v>
      </c>
      <c r="C24" s="9" t="s">
        <v>14</v>
      </c>
    </row>
    <row r="25" spans="1:7">
      <c r="A25" t="s">
        <v>25</v>
      </c>
      <c r="B25" s="21">
        <f>(VF_min+VF_max)/2</f>
        <v>1.75</v>
      </c>
      <c r="C25" s="9" t="s">
        <v>14</v>
      </c>
    </row>
    <row r="26" spans="1:7">
      <c r="A26" t="s">
        <v>26</v>
      </c>
      <c r="B26" s="20">
        <f>(Vsup_nom-VF_typ)/I_desired*1000</f>
        <v>1025</v>
      </c>
      <c r="C26" s="9" t="s">
        <v>35</v>
      </c>
    </row>
    <row r="27" spans="1:7">
      <c r="A27" t="s">
        <v>36</v>
      </c>
      <c r="B27" s="20">
        <f ca="1">$B$42</f>
        <v>1000</v>
      </c>
      <c r="C27" s="9" t="s">
        <v>35</v>
      </c>
    </row>
    <row r="28" spans="1:7">
      <c r="A28" t="s">
        <v>42</v>
      </c>
      <c r="B28" s="20">
        <f ca="1">$B$27*(1+(R_tolerance/100))</f>
        <v>1050</v>
      </c>
      <c r="C28" s="9" t="s">
        <v>35</v>
      </c>
    </row>
    <row r="29" spans="1:7">
      <c r="A29" t="s">
        <v>43</v>
      </c>
      <c r="B29" s="20">
        <f ca="1">$B$27*(1-(R_tolerance/100))</f>
        <v>950</v>
      </c>
      <c r="C29" s="9" t="s">
        <v>35</v>
      </c>
    </row>
    <row r="30" spans="1:7">
      <c r="A30" t="s">
        <v>40</v>
      </c>
      <c r="B30" s="20">
        <f>Vsup_nom*(1+(Vsup_tolerance/100))</f>
        <v>12.600000000000001</v>
      </c>
      <c r="C30" s="9" t="s">
        <v>14</v>
      </c>
    </row>
    <row r="31" spans="1:7">
      <c r="A31" t="s">
        <v>41</v>
      </c>
      <c r="B31" s="20">
        <f>Vsup_nom*(1-(Vsup_tolerance/100))</f>
        <v>11.399999999999999</v>
      </c>
      <c r="C31" s="9" t="s">
        <v>14</v>
      </c>
    </row>
    <row r="33" spans="1:3">
      <c r="A33" s="19" t="s">
        <v>45</v>
      </c>
    </row>
    <row r="34" spans="1:3">
      <c r="A34" t="s">
        <v>27</v>
      </c>
      <c r="B34" s="20">
        <f>INT(LOG(B26))</f>
        <v>3</v>
      </c>
      <c r="C34" s="15" t="s">
        <v>19</v>
      </c>
    </row>
    <row r="35" spans="1:3">
      <c r="A35" t="s">
        <v>28</v>
      </c>
      <c r="B35" s="20">
        <f>$B$26/10^$B$34</f>
        <v>1.0249999999999999</v>
      </c>
      <c r="C35" s="15" t="s">
        <v>19</v>
      </c>
    </row>
    <row r="36" spans="1:3">
      <c r="A36" t="s">
        <v>37</v>
      </c>
      <c r="B36" s="20">
        <f>MATCH($B$35,R_lu,1)</f>
        <v>1</v>
      </c>
      <c r="C36" s="15" t="s">
        <v>19</v>
      </c>
    </row>
    <row r="37" spans="1:3">
      <c r="A37" t="s">
        <v>29</v>
      </c>
      <c r="B37" s="20">
        <f ca="1">OFFSET(R_list,B36,0)</f>
        <v>1</v>
      </c>
      <c r="C37" s="15" t="s">
        <v>19</v>
      </c>
    </row>
    <row r="38" spans="1:3">
      <c r="A38" t="s">
        <v>30</v>
      </c>
      <c r="B38" s="20">
        <f ca="1">OFFSET(R_list,B36+1,0)</f>
        <v>1.1000000000000001</v>
      </c>
      <c r="C38" s="15" t="s">
        <v>19</v>
      </c>
    </row>
    <row r="39" spans="1:3">
      <c r="A39" t="s">
        <v>31</v>
      </c>
      <c r="B39" s="20">
        <f ca="1">ABS($B$37-$B$35)</f>
        <v>2.4999999999999911E-2</v>
      </c>
      <c r="C39" s="15" t="s">
        <v>19</v>
      </c>
    </row>
    <row r="40" spans="1:3">
      <c r="A40" t="s">
        <v>32</v>
      </c>
      <c r="B40" s="20">
        <f ca="1">ABS($B$38-$B$35)</f>
        <v>7.5000000000000178E-2</v>
      </c>
      <c r="C40" s="15" t="s">
        <v>19</v>
      </c>
    </row>
    <row r="41" spans="1:3">
      <c r="A41" t="s">
        <v>33</v>
      </c>
      <c r="B41" s="20">
        <f ca="1">IF($B$39&lt;$B$40,$B$37,$B$38)</f>
        <v>1</v>
      </c>
      <c r="C41" s="15" t="s">
        <v>19</v>
      </c>
    </row>
    <row r="42" spans="1:3">
      <c r="A42" t="s">
        <v>34</v>
      </c>
      <c r="B42" s="20">
        <f ca="1">$B$41*(10^$B$34)</f>
        <v>1000</v>
      </c>
      <c r="C42" s="15" t="s">
        <v>19</v>
      </c>
    </row>
  </sheetData>
  <dataValidations count="1">
    <dataValidation type="list" allowBlank="1" showInputMessage="1" showErrorMessage="1" sqref="B8">
      <formula1>$G$5:$G$11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14" sqref="A14"/>
    </sheetView>
  </sheetViews>
  <sheetFormatPr defaultRowHeight="15"/>
  <cols>
    <col min="4" max="4" width="11" customWidth="1"/>
    <col min="8" max="8" width="26.140625" bestFit="1" customWidth="1"/>
  </cols>
  <sheetData>
    <row r="1" spans="1:8" ht="21">
      <c r="A1" s="8" t="s">
        <v>72</v>
      </c>
    </row>
    <row r="3" spans="1:8">
      <c r="A3" t="s">
        <v>73</v>
      </c>
      <c r="B3" s="40" t="s">
        <v>74</v>
      </c>
    </row>
    <row r="5" spans="1:8" ht="15.75" thickBot="1"/>
    <row r="6" spans="1:8" ht="30" customHeight="1">
      <c r="B6" s="41" t="s">
        <v>58</v>
      </c>
      <c r="C6" s="26" t="s">
        <v>59</v>
      </c>
      <c r="D6" s="26" t="s">
        <v>60</v>
      </c>
      <c r="E6" s="44" t="s">
        <v>61</v>
      </c>
      <c r="F6" s="45"/>
      <c r="G6" s="26" t="s">
        <v>62</v>
      </c>
    </row>
    <row r="7" spans="1:8" ht="29.25" customHeight="1">
      <c r="B7" s="42"/>
      <c r="C7" s="27" t="s">
        <v>63</v>
      </c>
      <c r="D7" s="27" t="s">
        <v>65</v>
      </c>
      <c r="E7" s="46" t="s">
        <v>66</v>
      </c>
      <c r="F7" s="47"/>
      <c r="G7" s="50" t="s">
        <v>67</v>
      </c>
    </row>
    <row r="8" spans="1:8" ht="15.75" thickBot="1">
      <c r="B8" s="42"/>
      <c r="C8" s="27" t="s">
        <v>64</v>
      </c>
      <c r="D8" s="27"/>
      <c r="E8" s="48"/>
      <c r="F8" s="49"/>
      <c r="G8" s="50"/>
    </row>
    <row r="9" spans="1:8" ht="27.75" thickBot="1">
      <c r="B9" s="43"/>
      <c r="C9" s="28"/>
      <c r="D9" s="28"/>
      <c r="E9" s="29" t="s">
        <v>68</v>
      </c>
      <c r="F9" s="29" t="s">
        <v>69</v>
      </c>
      <c r="G9" s="28"/>
      <c r="H9" s="7" t="s">
        <v>75</v>
      </c>
    </row>
    <row r="10" spans="1:8" ht="15.75" thickBot="1">
      <c r="B10" s="35">
        <v>12</v>
      </c>
      <c r="C10" s="30">
        <v>6530</v>
      </c>
      <c r="D10" s="30">
        <v>81</v>
      </c>
      <c r="E10" s="30">
        <v>1.62</v>
      </c>
      <c r="F10" s="30">
        <v>1.87</v>
      </c>
      <c r="G10" s="31">
        <v>19.8</v>
      </c>
    </row>
    <row r="11" spans="1:8" ht="15.75" thickBot="1">
      <c r="B11" s="36">
        <v>14</v>
      </c>
      <c r="C11" s="33">
        <v>4110</v>
      </c>
      <c r="D11" s="33">
        <v>64</v>
      </c>
      <c r="E11" s="33">
        <v>2.58</v>
      </c>
      <c r="F11" s="33">
        <v>2.97</v>
      </c>
      <c r="G11" s="34">
        <v>12.4</v>
      </c>
    </row>
    <row r="12" spans="1:8" ht="15.75" thickBot="1">
      <c r="B12" s="32">
        <v>22</v>
      </c>
      <c r="C12" s="33">
        <v>642</v>
      </c>
      <c r="D12" s="33">
        <v>25.3</v>
      </c>
      <c r="E12" s="33">
        <v>16.5</v>
      </c>
      <c r="F12" s="33">
        <v>19</v>
      </c>
      <c r="G12" s="34">
        <v>1.94</v>
      </c>
      <c r="H12" t="s">
        <v>70</v>
      </c>
    </row>
    <row r="13" spans="1:8" ht="15.75" thickBot="1">
      <c r="B13" s="36">
        <v>24</v>
      </c>
      <c r="C13" s="33">
        <v>404</v>
      </c>
      <c r="D13" s="33">
        <v>20.100000000000001</v>
      </c>
      <c r="E13" s="33">
        <v>26.2</v>
      </c>
      <c r="F13" s="33">
        <v>30.2</v>
      </c>
      <c r="G13" s="34">
        <v>1.22</v>
      </c>
      <c r="H13" t="s">
        <v>71</v>
      </c>
    </row>
    <row r="14" spans="1:8" ht="15.75" thickBot="1">
      <c r="B14" s="32">
        <v>26</v>
      </c>
      <c r="C14" s="33">
        <v>254</v>
      </c>
      <c r="D14" s="33">
        <v>15.9</v>
      </c>
      <c r="E14" s="33">
        <v>41.6</v>
      </c>
      <c r="F14" s="33">
        <v>48</v>
      </c>
      <c r="G14" s="34">
        <v>0.76900000000000002</v>
      </c>
    </row>
    <row r="15" spans="1:8" ht="15.75" thickBot="1">
      <c r="B15" s="36">
        <v>28</v>
      </c>
      <c r="C15" s="33">
        <v>160</v>
      </c>
      <c r="D15" s="33">
        <v>12.6</v>
      </c>
      <c r="E15" s="33">
        <v>66.2</v>
      </c>
      <c r="F15" s="33">
        <v>76.400000000000006</v>
      </c>
      <c r="G15" s="34">
        <v>0.48399999999999999</v>
      </c>
    </row>
    <row r="16" spans="1:8" ht="15.75" thickBot="1">
      <c r="B16" s="32">
        <v>30</v>
      </c>
      <c r="C16" s="33">
        <v>101</v>
      </c>
      <c r="D16" s="33">
        <v>10</v>
      </c>
      <c r="E16" s="33">
        <v>105</v>
      </c>
      <c r="F16" s="33">
        <v>121</v>
      </c>
      <c r="G16" s="34">
        <v>0.30399999999999999</v>
      </c>
    </row>
    <row r="17" spans="2:7" ht="15.75" thickBot="1">
      <c r="B17" s="32">
        <v>32</v>
      </c>
      <c r="C17" s="33">
        <v>63.2</v>
      </c>
      <c r="D17" s="33">
        <v>8</v>
      </c>
      <c r="E17" s="33">
        <v>167</v>
      </c>
      <c r="F17" s="33">
        <v>193</v>
      </c>
      <c r="G17" s="34">
        <v>0.191</v>
      </c>
    </row>
    <row r="18" spans="2:7" ht="15.75" thickBot="1">
      <c r="B18" s="32">
        <v>34</v>
      </c>
      <c r="C18" s="33">
        <v>39.799999999999997</v>
      </c>
      <c r="D18" s="33">
        <v>6.3</v>
      </c>
      <c r="E18" s="33">
        <v>266</v>
      </c>
      <c r="F18" s="33">
        <v>307</v>
      </c>
      <c r="G18" s="34">
        <v>0.12</v>
      </c>
    </row>
    <row r="19" spans="2:7" ht="15.75" thickBot="1">
      <c r="B19" s="32">
        <v>36</v>
      </c>
      <c r="C19" s="33">
        <v>25</v>
      </c>
      <c r="D19" s="33">
        <v>5</v>
      </c>
      <c r="E19" s="33">
        <v>423</v>
      </c>
      <c r="F19" s="33">
        <v>488</v>
      </c>
      <c r="G19" s="34">
        <v>7.5999999999999998E-2</v>
      </c>
    </row>
    <row r="20" spans="2:7" ht="15.75" thickBot="1">
      <c r="B20" s="32">
        <v>38</v>
      </c>
      <c r="C20" s="33">
        <v>15.7</v>
      </c>
      <c r="D20" s="33">
        <v>4</v>
      </c>
      <c r="E20" s="33">
        <v>673</v>
      </c>
      <c r="F20" s="33">
        <v>776</v>
      </c>
      <c r="G20" s="34">
        <v>4.8000000000000001E-2</v>
      </c>
    </row>
    <row r="21" spans="2:7" ht="15.75" thickBot="1">
      <c r="B21" s="37">
        <v>40</v>
      </c>
      <c r="C21" s="38">
        <v>9.9</v>
      </c>
      <c r="D21" s="38">
        <v>3.1</v>
      </c>
      <c r="E21" s="38">
        <v>1070</v>
      </c>
      <c r="F21" s="38">
        <v>1230</v>
      </c>
      <c r="G21" s="39">
        <v>0.02</v>
      </c>
    </row>
  </sheetData>
  <mergeCells count="4">
    <mergeCell ref="B6:B9"/>
    <mergeCell ref="E6:F6"/>
    <mergeCell ref="E7:F8"/>
    <mergeCell ref="G7:G8"/>
  </mergeCells>
  <hyperlinks>
    <hyperlink ref="E6" r:id="rId1" display="https://www.engineeringtoolbox.com/resistance-resisitivity-d_1382.html"/>
    <hyperlink ref="B3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B30"/>
  <sheetViews>
    <sheetView topLeftCell="A4" workbookViewId="0">
      <selection activeCell="C31" sqref="C31"/>
    </sheetView>
  </sheetViews>
  <sheetFormatPr defaultRowHeight="15"/>
  <cols>
    <col min="1" max="1" width="3.85546875" customWidth="1"/>
    <col min="2" max="2" width="15.140625" customWidth="1"/>
  </cols>
  <sheetData>
    <row r="4" spans="2:2" ht="15.75" thickBot="1"/>
    <row r="5" spans="2:2" ht="45">
      <c r="B5" s="24" t="s">
        <v>50</v>
      </c>
    </row>
    <row r="6" spans="2:2">
      <c r="B6" s="22">
        <v>1</v>
      </c>
    </row>
    <row r="7" spans="2:2">
      <c r="B7" s="22">
        <v>1.1000000000000001</v>
      </c>
    </row>
    <row r="8" spans="2:2">
      <c r="B8" s="22">
        <v>1.2</v>
      </c>
    </row>
    <row r="9" spans="2:2">
      <c r="B9" s="22">
        <v>1.3</v>
      </c>
    </row>
    <row r="10" spans="2:2">
      <c r="B10" s="22">
        <v>1.5</v>
      </c>
    </row>
    <row r="11" spans="2:2">
      <c r="B11" s="22">
        <v>1.6</v>
      </c>
    </row>
    <row r="12" spans="2:2">
      <c r="B12" s="22">
        <v>1.8</v>
      </c>
    </row>
    <row r="13" spans="2:2">
      <c r="B13" s="22">
        <v>2</v>
      </c>
    </row>
    <row r="14" spans="2:2">
      <c r="B14" s="22">
        <v>2.2000000000000002</v>
      </c>
    </row>
    <row r="15" spans="2:2">
      <c r="B15" s="22">
        <v>2.4</v>
      </c>
    </row>
    <row r="16" spans="2:2">
      <c r="B16" s="22">
        <v>2.7</v>
      </c>
    </row>
    <row r="17" spans="2:2">
      <c r="B17" s="22">
        <v>3</v>
      </c>
    </row>
    <row r="18" spans="2:2">
      <c r="B18" s="22">
        <v>3.3</v>
      </c>
    </row>
    <row r="19" spans="2:2">
      <c r="B19" s="22">
        <v>3.6</v>
      </c>
    </row>
    <row r="20" spans="2:2">
      <c r="B20" s="22">
        <v>3.9</v>
      </c>
    </row>
    <row r="21" spans="2:2">
      <c r="B21" s="22">
        <v>4.3</v>
      </c>
    </row>
    <row r="22" spans="2:2">
      <c r="B22" s="22">
        <v>4.7</v>
      </c>
    </row>
    <row r="23" spans="2:2">
      <c r="B23" s="22">
        <v>5.0999999999999996</v>
      </c>
    </row>
    <row r="24" spans="2:2">
      <c r="B24" s="22">
        <v>5.6</v>
      </c>
    </row>
    <row r="25" spans="2:2">
      <c r="B25" s="22">
        <v>6.2</v>
      </c>
    </row>
    <row r="26" spans="2:2">
      <c r="B26" s="22">
        <v>6.8</v>
      </c>
    </row>
    <row r="27" spans="2:2">
      <c r="B27" s="22">
        <v>7.5</v>
      </c>
    </row>
    <row r="28" spans="2:2">
      <c r="B28" s="22">
        <v>8.1999999999999993</v>
      </c>
    </row>
    <row r="29" spans="2:2">
      <c r="B29" s="22">
        <v>9.1</v>
      </c>
    </row>
    <row r="30" spans="2:2" ht="15.75" thickBot="1">
      <c r="B30" s="2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LEDs</vt:lpstr>
      <vt:lpstr>Wire</vt:lpstr>
      <vt:lpstr>References</vt:lpstr>
      <vt:lpstr>I_desired</vt:lpstr>
      <vt:lpstr>I_max</vt:lpstr>
      <vt:lpstr>I_min</vt:lpstr>
      <vt:lpstr>I_typ</vt:lpstr>
      <vt:lpstr>LED_color</vt:lpstr>
      <vt:lpstr>LED_Vlu</vt:lpstr>
      <vt:lpstr>R_list</vt:lpstr>
      <vt:lpstr>R_lu</vt:lpstr>
      <vt:lpstr>R_max</vt:lpstr>
      <vt:lpstr>R_min</vt:lpstr>
      <vt:lpstr>R_nom</vt:lpstr>
      <vt:lpstr>R_tolerance</vt:lpstr>
      <vt:lpstr>R_user_select</vt:lpstr>
      <vt:lpstr>VF_max</vt:lpstr>
      <vt:lpstr>VF_min</vt:lpstr>
      <vt:lpstr>VF_typ</vt:lpstr>
      <vt:lpstr>Vsup_max</vt:lpstr>
      <vt:lpstr>Vsup_min</vt:lpstr>
      <vt:lpstr>Vsup_nom</vt:lpstr>
      <vt:lpstr>Vsup_tolerance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2026-09-15T15:29:21Z</dcterms:modified>
</cp:coreProperties>
</file>